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Institutional Research\IR Standard Reports\Semesterly Reports\COMmon Fact Sheet\Distribution\"/>
    </mc:Choice>
  </mc:AlternateContent>
  <xr:revisionPtr revIDLastSave="0" documentId="13_ncr:1_{F8D97097-0BD3-430E-94FF-873D63707728}" xr6:coauthVersionLast="47" xr6:coauthVersionMax="47" xr10:uidLastSave="{00000000-0000-0000-0000-000000000000}"/>
  <bookViews>
    <workbookView xWindow="38280" yWindow="-120" windowWidth="29040" windowHeight="15840" xr2:uid="{089E034B-9274-47C4-A3EB-FE7F0D4374A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D52" i="1"/>
  <c r="F39" i="1"/>
  <c r="F19" i="1"/>
  <c r="F33" i="1"/>
  <c r="D6" i="1"/>
  <c r="B5" i="1"/>
  <c r="F35" i="1"/>
  <c r="F15" i="1"/>
  <c r="G48" i="1"/>
  <c r="F13" i="1"/>
  <c r="F36" i="1"/>
  <c r="F16" i="1"/>
  <c r="F30" i="1"/>
  <c r="D45" i="1"/>
  <c r="F48" i="1"/>
  <c r="F10" i="1"/>
  <c r="F45" i="1"/>
  <c r="C54" i="1"/>
  <c r="D16" i="1"/>
  <c r="D8" i="1"/>
  <c r="F40" i="1"/>
  <c r="F41" i="1"/>
  <c r="B44" i="1"/>
  <c r="C50" i="1"/>
  <c r="C52" i="1"/>
  <c r="F54" i="1"/>
  <c r="D37" i="1"/>
  <c r="D17" i="1"/>
  <c r="F23" i="1"/>
  <c r="E48" i="1"/>
  <c r="D54" i="1"/>
  <c r="D34" i="1"/>
  <c r="D14" i="1"/>
  <c r="F11" i="1"/>
  <c r="B54" i="1"/>
  <c r="D35" i="1"/>
  <c r="D15" i="1"/>
  <c r="D49" i="1"/>
  <c r="D41" i="1"/>
  <c r="D22" i="1"/>
  <c r="F37" i="1"/>
  <c r="D28" i="1"/>
  <c r="D36" i="1"/>
  <c r="D5" i="1"/>
  <c r="D9" i="1"/>
  <c r="D10" i="1"/>
  <c r="G52" i="1"/>
  <c r="F22" i="1"/>
  <c r="D42" i="1"/>
  <c r="D39" i="1"/>
  <c r="D20" i="1"/>
  <c r="G50" i="1"/>
  <c r="B52" i="1"/>
  <c r="F34" i="1"/>
  <c r="F14" i="1"/>
  <c r="E54" i="1"/>
  <c r="F9" i="1"/>
  <c r="D50" i="1"/>
  <c r="F31" i="1"/>
  <c r="F42" i="1"/>
  <c r="F8" i="1"/>
  <c r="F52" i="1"/>
  <c r="F32" i="1"/>
  <c r="D11" i="1"/>
  <c r="F5" i="1"/>
  <c r="F26" i="1"/>
  <c r="F27" i="1"/>
  <c r="D44" i="1"/>
  <c r="D24" i="1"/>
  <c r="D26" i="1"/>
  <c r="F24" i="1"/>
  <c r="F20" i="1"/>
  <c r="F6" i="1"/>
  <c r="F17" i="1"/>
  <c r="D32" i="1"/>
  <c r="E49" i="1"/>
  <c r="F50" i="1"/>
  <c r="D33" i="1"/>
  <c r="D13" i="1"/>
  <c r="E50" i="1"/>
  <c r="F49" i="1"/>
  <c r="B49" i="1"/>
  <c r="D30" i="1"/>
  <c r="F28" i="1"/>
  <c r="D7" i="1"/>
  <c r="B50" i="1"/>
  <c r="D31" i="1"/>
  <c r="G49" i="1"/>
  <c r="C48" i="1"/>
  <c r="C49" i="1"/>
  <c r="E52" i="1"/>
  <c r="B48" i="1"/>
  <c r="D43" i="1"/>
  <c r="F44" i="1"/>
  <c r="F43" i="1"/>
  <c r="D27" i="1"/>
  <c r="D48" i="1"/>
  <c r="D23" i="1"/>
  <c r="F7" i="1"/>
  <c r="D19" i="1"/>
  <c r="D40" i="1"/>
  <c r="E40" i="1" l="1"/>
  <c r="B40" i="1"/>
  <c r="C40" i="1" s="1"/>
  <c r="E19" i="1"/>
  <c r="B19" i="1"/>
  <c r="C19" i="1" s="1"/>
  <c r="G7" i="1"/>
  <c r="B23" i="1"/>
  <c r="C23" i="1" s="1"/>
  <c r="E23" i="1"/>
  <c r="D51" i="1"/>
  <c r="D53" i="1" s="1"/>
  <c r="B27" i="1"/>
  <c r="C27" i="1" s="1"/>
  <c r="E27" i="1"/>
  <c r="G43" i="1"/>
  <c r="B43" i="1"/>
  <c r="C43" i="1" s="1"/>
  <c r="E43" i="1"/>
  <c r="B51" i="1"/>
  <c r="B53" i="1" s="1"/>
  <c r="C51" i="1"/>
  <c r="C53" i="1" s="1"/>
  <c r="B31" i="1"/>
  <c r="C31" i="1" s="1"/>
  <c r="E31" i="1"/>
  <c r="E7" i="1"/>
  <c r="B7" i="1"/>
  <c r="C7" i="1" s="1"/>
  <c r="G28" i="1"/>
  <c r="E30" i="1"/>
  <c r="B30" i="1"/>
  <c r="C30" i="1" s="1"/>
  <c r="E13" i="1"/>
  <c r="B13" i="1"/>
  <c r="C13" i="1" s="1"/>
  <c r="B33" i="1"/>
  <c r="C33" i="1" s="1"/>
  <c r="E33" i="1"/>
  <c r="E32" i="1"/>
  <c r="B32" i="1"/>
  <c r="C32" i="1" s="1"/>
  <c r="G17" i="1"/>
  <c r="G6" i="1"/>
  <c r="G20" i="1"/>
  <c r="G24" i="1"/>
  <c r="E26" i="1"/>
  <c r="B26" i="1"/>
  <c r="C26" i="1" s="1"/>
  <c r="E24" i="1"/>
  <c r="B24" i="1"/>
  <c r="C24" i="1" s="1"/>
  <c r="G27" i="1"/>
  <c r="G26" i="1"/>
  <c r="B11" i="1"/>
  <c r="G32" i="1"/>
  <c r="G8" i="1"/>
  <c r="G42" i="1"/>
  <c r="G31" i="1"/>
  <c r="G9" i="1"/>
  <c r="G14" i="1"/>
  <c r="G34" i="1"/>
  <c r="B20" i="1"/>
  <c r="C20" i="1" s="1"/>
  <c r="E20" i="1"/>
  <c r="E39" i="1"/>
  <c r="B39" i="1"/>
  <c r="C39" i="1" s="1"/>
  <c r="E42" i="1"/>
  <c r="B42" i="1"/>
  <c r="C42" i="1" s="1"/>
  <c r="G22" i="1"/>
  <c r="E10" i="1"/>
  <c r="B10" i="1"/>
  <c r="C10" i="1" s="1"/>
  <c r="B9" i="1"/>
  <c r="C9" i="1" s="1"/>
  <c r="E9" i="1"/>
  <c r="B36" i="1"/>
  <c r="C36" i="1" s="1"/>
  <c r="E36" i="1"/>
  <c r="E28" i="1"/>
  <c r="B28" i="1"/>
  <c r="C28" i="1" s="1"/>
  <c r="G37" i="1"/>
  <c r="B22" i="1"/>
  <c r="C22" i="1" s="1"/>
  <c r="E22" i="1"/>
  <c r="B41" i="1"/>
  <c r="C41" i="1" s="1"/>
  <c r="E41" i="1"/>
  <c r="B15" i="1"/>
  <c r="C15" i="1" s="1"/>
  <c r="E15" i="1"/>
  <c r="E35" i="1"/>
  <c r="B35" i="1"/>
  <c r="C35" i="1" s="1"/>
  <c r="E14" i="1"/>
  <c r="B14" i="1"/>
  <c r="C14" i="1" s="1"/>
  <c r="E34" i="1"/>
  <c r="B34" i="1"/>
  <c r="C34" i="1" s="1"/>
  <c r="E51" i="1"/>
  <c r="E53" i="1" s="1"/>
  <c r="G23" i="1"/>
  <c r="E17" i="1"/>
  <c r="B17" i="1"/>
  <c r="C17" i="1" s="1"/>
  <c r="E37" i="1"/>
  <c r="B37" i="1"/>
  <c r="C37" i="1" s="1"/>
  <c r="G41" i="1"/>
  <c r="G40" i="1"/>
  <c r="E8" i="1"/>
  <c r="B8" i="1"/>
  <c r="C8" i="1" s="1"/>
  <c r="E16" i="1"/>
  <c r="B16" i="1"/>
  <c r="C16" i="1" s="1"/>
  <c r="G10" i="1"/>
  <c r="F51" i="1"/>
  <c r="F53" i="1" s="1"/>
  <c r="B45" i="1"/>
  <c r="G30" i="1"/>
  <c r="G16" i="1"/>
  <c r="G36" i="1"/>
  <c r="G13" i="1"/>
  <c r="G51" i="1"/>
  <c r="G53" i="1" s="1"/>
  <c r="G15" i="1"/>
  <c r="G35" i="1"/>
  <c r="E6" i="1"/>
  <c r="B6" i="1"/>
  <c r="C6" i="1" s="1"/>
  <c r="G33" i="1"/>
  <c r="G19" i="1"/>
  <c r="G39" i="1"/>
</calcChain>
</file>

<file path=xl/sharedStrings.xml><?xml version="1.0" encoding="utf-8"?>
<sst xmlns="http://schemas.openxmlformats.org/spreadsheetml/2006/main" count="72" uniqueCount="62">
  <si>
    <t>COMmon Fact Sheet--Credit Students, Fall 2024</t>
  </si>
  <si>
    <t xml:space="preserve">8 Week Advantage Transition Fall. Includes 16W &amp; F8W Sessions only. Make historical comparisons with caution. </t>
  </si>
  <si>
    <t>Total</t>
  </si>
  <si>
    <t>Academic Majors</t>
  </si>
  <si>
    <t>Work Force Majors</t>
  </si>
  <si>
    <t>HC</t>
  </si>
  <si>
    <t xml:space="preserve">% </t>
  </si>
  <si>
    <t>%</t>
  </si>
  <si>
    <t>First-time-in-College</t>
  </si>
  <si>
    <t>New transfer</t>
  </si>
  <si>
    <t>Continuing</t>
  </si>
  <si>
    <t>Dual Credit</t>
  </si>
  <si>
    <t>Collegiate High School</t>
  </si>
  <si>
    <t>Flexible Entry</t>
  </si>
  <si>
    <t>Ethnicity</t>
  </si>
  <si>
    <t>White</t>
  </si>
  <si>
    <t>Black</t>
  </si>
  <si>
    <t>Hispanic</t>
  </si>
  <si>
    <t>Asian</t>
  </si>
  <si>
    <t>Other</t>
  </si>
  <si>
    <t>Gender</t>
  </si>
  <si>
    <t>Female</t>
  </si>
  <si>
    <t>Male</t>
  </si>
  <si>
    <t>Student Load</t>
  </si>
  <si>
    <t>Full-time</t>
  </si>
  <si>
    <t>Part-time</t>
  </si>
  <si>
    <t>Pell Recipients</t>
  </si>
  <si>
    <t>Tuition Status</t>
  </si>
  <si>
    <t>In-District</t>
  </si>
  <si>
    <t>Out-of-District</t>
  </si>
  <si>
    <t>City</t>
  </si>
  <si>
    <t>Dickinson</t>
  </si>
  <si>
    <t>Friendswood</t>
  </si>
  <si>
    <t>Hitchcock</t>
  </si>
  <si>
    <t>La Marque</t>
  </si>
  <si>
    <t>League City</t>
  </si>
  <si>
    <t>Santa Fe</t>
  </si>
  <si>
    <t>Texas City</t>
  </si>
  <si>
    <t>All Other</t>
  </si>
  <si>
    <t>Age</t>
  </si>
  <si>
    <t>Under 18</t>
  </si>
  <si>
    <t>18 to 24</t>
  </si>
  <si>
    <t>25 to 34</t>
  </si>
  <si>
    <t>35 to 44</t>
  </si>
  <si>
    <t>45 and Over</t>
  </si>
  <si>
    <t>Average Age</t>
  </si>
  <si>
    <t>Academic Lower Division</t>
  </si>
  <si>
    <t>Technical Lower Division</t>
  </si>
  <si>
    <t>Upper Division</t>
  </si>
  <si>
    <t>Regular</t>
  </si>
  <si>
    <t>Flex</t>
  </si>
  <si>
    <t>Total Funded</t>
  </si>
  <si>
    <t>Not State Funded</t>
  </si>
  <si>
    <t>Total Contact Hours</t>
  </si>
  <si>
    <t>Source:  CBM0C1, CBM0CS, Colleague</t>
  </si>
  <si>
    <r>
      <t>Total Fall</t>
    </r>
    <r>
      <rPr>
        <i/>
        <vertAlign val="superscript"/>
        <sz val="8"/>
        <rFont val="Times New Roman"/>
        <family val="1"/>
      </rPr>
      <t>1</t>
    </r>
  </si>
  <si>
    <r>
      <t>Other</t>
    </r>
    <r>
      <rPr>
        <vertAlign val="superscript"/>
        <sz val="9"/>
        <rFont val="Times New Roman"/>
        <family val="1"/>
      </rPr>
      <t>2</t>
    </r>
  </si>
  <si>
    <r>
      <t>Student FTE</t>
    </r>
    <r>
      <rPr>
        <i/>
        <vertAlign val="superscript"/>
        <sz val="9"/>
        <rFont val="Times New Roman"/>
        <family val="1"/>
      </rPr>
      <t>3</t>
    </r>
  </si>
  <si>
    <r>
      <t>Contact Hours</t>
    </r>
    <r>
      <rPr>
        <b/>
        <vertAlign val="superscript"/>
        <sz val="9"/>
        <rFont val="Times New Roman"/>
        <family val="1"/>
      </rPr>
      <t>4</t>
    </r>
  </si>
  <si>
    <r>
      <t>Total Student Credit Hours</t>
    </r>
    <r>
      <rPr>
        <b/>
        <i/>
        <vertAlign val="superscript"/>
        <sz val="9"/>
        <rFont val="Times New Roman"/>
        <family val="1"/>
      </rPr>
      <t>4</t>
    </r>
  </si>
  <si>
    <r>
      <t>1</t>
    </r>
    <r>
      <rPr>
        <sz val="8"/>
        <rFont val="Times New Roman"/>
        <family val="1"/>
      </rPr>
      <t xml:space="preserve">Total does not include flex entry.  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Nonresident, Exempt/Texas Resident, Foreign In-District, &amp; Foreign Out-of-District. 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FTE is the total SCH taken by each type of student (academic or work force) divided by 12; </t>
    </r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Contact and semester credit hours are based on the type of course. </t>
    </r>
  </si>
  <si>
    <t>Prepared by Office of Planning, Effectiveness, Analytics, and Research, FactSheetFall2024PreliminaryCorrected, 10/25/2024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</si>
</sst>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%"/>
    <numFmt numFmtId="165" formatCode="#,##0.0"/>
  </numFmts>
  <fonts count="14" x14ac:knownFonts="1">
    <font>
      <sz val="11"/>
      <color theme="1"/>
      <name val="Aptos Narrow"/>
      <family val="2"/>
      <scheme val="minor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i/>
      <vertAlign val="superscript"/>
      <sz val="8"/>
      <name val="Times New Roman"/>
      <family val="1"/>
    </font>
    <font>
      <vertAlign val="superscript"/>
      <sz val="9"/>
      <name val="Times New Roman"/>
      <family val="1"/>
    </font>
    <font>
      <i/>
      <vertAlign val="superscript"/>
      <sz val="9"/>
      <name val="Times New Roman"/>
      <family val="1"/>
    </font>
    <font>
      <b/>
      <vertAlign val="superscript"/>
      <sz val="9"/>
      <name val="Times New Roman"/>
      <family val="1"/>
    </font>
    <font>
      <b/>
      <i/>
      <sz val="9"/>
      <name val="Times New Roman"/>
      <family val="1"/>
    </font>
    <font>
      <b/>
      <i/>
      <vertAlign val="superscript"/>
      <sz val="9"/>
      <name val="Times New Roman"/>
      <family val="1"/>
    </font>
    <font>
      <i/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" fontId="2" fillId="0" borderId="1" xfId="0" applyNumberFormat="1" applyFont="1" applyBorder="1" applyAlignment="1">
      <alignment horizontal="left" wrapText="1"/>
    </xf>
    <xf numFmtId="4" fontId="4" fillId="0" borderId="5" xfId="0" applyNumberFormat="1" applyFont="1" applyBorder="1" applyAlignment="1">
      <alignment horizontal="left" wrapText="1"/>
    </xf>
    <xf numFmtId="3" fontId="2" fillId="0" borderId="6" xfId="0" applyNumberFormat="1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3" fontId="4" fillId="0" borderId="5" xfId="0" applyNumberFormat="1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right" vertical="center" wrapText="1" indent="1"/>
    </xf>
    <xf numFmtId="164" fontId="2" fillId="0" borderId="10" xfId="0" applyNumberFormat="1" applyFont="1" applyBorder="1" applyAlignment="1">
      <alignment horizontal="right" vertical="center" wrapText="1" indent="1"/>
    </xf>
    <xf numFmtId="164" fontId="2" fillId="0" borderId="11" xfId="0" applyNumberFormat="1" applyFont="1" applyBorder="1" applyAlignment="1">
      <alignment horizontal="right" vertical="center" wrapText="1" indent="1"/>
    </xf>
    <xf numFmtId="3" fontId="2" fillId="0" borderId="5" xfId="0" applyNumberFormat="1" applyFont="1" applyBorder="1" applyAlignment="1">
      <alignment horizontal="left" vertical="top" wrapText="1" indent="1"/>
    </xf>
    <xf numFmtId="164" fontId="2" fillId="0" borderId="12" xfId="0" applyNumberFormat="1" applyFont="1" applyBorder="1" applyAlignment="1">
      <alignment horizontal="right" vertical="center" wrapText="1" indent="1"/>
    </xf>
    <xf numFmtId="3" fontId="2" fillId="0" borderId="0" xfId="0" applyNumberFormat="1" applyFont="1"/>
    <xf numFmtId="0" fontId="2" fillId="0" borderId="9" xfId="0" applyFont="1" applyBorder="1" applyAlignment="1">
      <alignment horizontal="right" indent="1"/>
    </xf>
    <xf numFmtId="164" fontId="2" fillId="0" borderId="10" xfId="0" applyNumberFormat="1" applyFont="1" applyBorder="1" applyAlignment="1">
      <alignment horizontal="right" indent="1"/>
    </xf>
    <xf numFmtId="3" fontId="2" fillId="0" borderId="10" xfId="0" applyNumberFormat="1" applyFont="1" applyBorder="1" applyAlignment="1">
      <alignment horizontal="right" vertical="center" wrapText="1" indent="1"/>
    </xf>
    <xf numFmtId="165" fontId="2" fillId="0" borderId="12" xfId="0" applyNumberFormat="1" applyFont="1" applyBorder="1" applyAlignment="1">
      <alignment horizontal="right" vertical="center" wrapText="1" indent="1"/>
    </xf>
    <xf numFmtId="3" fontId="4" fillId="0" borderId="13" xfId="0" applyNumberFormat="1" applyFont="1" applyBorder="1" applyAlignment="1">
      <alignment horizontal="left" vertical="top" wrapTex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15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horizontal="right" inden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/>
    <xf numFmtId="3" fontId="2" fillId="0" borderId="19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left" indent="1"/>
    </xf>
    <xf numFmtId="3" fontId="2" fillId="0" borderId="20" xfId="0" applyNumberFormat="1" applyFont="1" applyBorder="1" applyAlignment="1">
      <alignment horizontal="right" vertical="center" wrapText="1" indent="1"/>
    </xf>
    <xf numFmtId="3" fontId="2" fillId="0" borderId="21" xfId="0" applyNumberFormat="1" applyFont="1" applyBorder="1" applyAlignment="1">
      <alignment horizontal="right" vertical="center" wrapText="1" indent="1"/>
    </xf>
    <xf numFmtId="3" fontId="2" fillId="0" borderId="12" xfId="0" applyNumberFormat="1" applyFont="1" applyBorder="1" applyAlignment="1">
      <alignment horizontal="right" vertical="center" wrapText="1" indent="1"/>
    </xf>
    <xf numFmtId="3" fontId="2" fillId="0" borderId="22" xfId="0" applyNumberFormat="1" applyFont="1" applyBorder="1" applyAlignment="1">
      <alignment horizontal="right" vertical="center" wrapText="1" indent="1"/>
    </xf>
    <xf numFmtId="0" fontId="2" fillId="0" borderId="23" xfId="0" applyFont="1" applyBorder="1" applyAlignment="1">
      <alignment horizontal="left" indent="1"/>
    </xf>
    <xf numFmtId="3" fontId="2" fillId="0" borderId="24" xfId="0" applyNumberFormat="1" applyFont="1" applyBorder="1" applyAlignment="1">
      <alignment horizontal="right" vertical="center" wrapText="1" indent="1"/>
    </xf>
    <xf numFmtId="3" fontId="2" fillId="0" borderId="25" xfId="0" applyNumberFormat="1" applyFont="1" applyBorder="1" applyAlignment="1">
      <alignment horizontal="right" vertical="center" wrapText="1" indent="1"/>
    </xf>
    <xf numFmtId="3" fontId="2" fillId="0" borderId="26" xfId="0" applyNumberFormat="1" applyFont="1" applyBorder="1" applyAlignment="1">
      <alignment horizontal="right" vertical="center" wrapText="1" indent="1"/>
    </xf>
    <xf numFmtId="0" fontId="4" fillId="0" borderId="5" xfId="0" applyFont="1" applyBorder="1" applyAlignment="1">
      <alignment horizontal="left" indent="2"/>
    </xf>
    <xf numFmtId="3" fontId="2" fillId="0" borderId="22" xfId="0" applyNumberFormat="1" applyFont="1" applyBorder="1" applyAlignment="1">
      <alignment horizontal="right" indent="1"/>
    </xf>
    <xf numFmtId="3" fontId="2" fillId="0" borderId="12" xfId="0" applyNumberFormat="1" applyFont="1" applyBorder="1" applyAlignment="1">
      <alignment horizontal="right" indent="1"/>
    </xf>
    <xf numFmtId="0" fontId="4" fillId="0" borderId="13" xfId="0" applyFont="1" applyBorder="1"/>
    <xf numFmtId="3" fontId="2" fillId="0" borderId="27" xfId="0" applyNumberFormat="1" applyFont="1" applyBorder="1" applyAlignment="1">
      <alignment horizontal="right" vertical="center" wrapText="1" indent="1"/>
    </xf>
    <xf numFmtId="3" fontId="2" fillId="0" borderId="28" xfId="0" applyNumberFormat="1" applyFont="1" applyBorder="1" applyAlignment="1">
      <alignment horizontal="right" vertical="center" wrapText="1" indent="1"/>
    </xf>
    <xf numFmtId="3" fontId="2" fillId="0" borderId="16" xfId="0" applyNumberFormat="1" applyFont="1" applyBorder="1" applyAlignment="1">
      <alignment horizontal="right" vertical="center" wrapText="1" indent="1"/>
    </xf>
    <xf numFmtId="3" fontId="9" fillId="0" borderId="13" xfId="0" applyNumberFormat="1" applyFont="1" applyBorder="1" applyAlignment="1">
      <alignment horizontal="left" vertical="top" wrapText="1"/>
    </xf>
    <xf numFmtId="0" fontId="2" fillId="0" borderId="16" xfId="0" applyFont="1" applyBorder="1" applyAlignment="1">
      <alignment horizontal="right" inden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Institutional%20Research\IR%20Standard%20Reports\Semesterly%20Reports\COMmon%20Fact%20Sheet\Reports\COMmon%20Fact%20Sheet%20Credit%20Fall%202024-%20WITH%20ADDITIONAL%205%20STUDENTS%20THAT%20DROPPED.xlsx" TargetMode="External"/><Relationship Id="rId1" Type="http://schemas.openxmlformats.org/officeDocument/2006/relationships/externalLinkPath" Target="/Institutional%20Research/IR%20Standard%20Reports/Semesterly%20Reports/COMmon%20Fact%20Sheet/Reports/COMmon%20Fact%20Sheet%20Credit%20Fall%202024-%20WITH%20ADDITIONAL%205%20STUDENTS%20THAT%20DROPP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  <sheetName val="Sheet3"/>
      <sheetName val="Sheet1"/>
      <sheetName val="Data"/>
      <sheetName val="Sheet2"/>
      <sheetName val="tables"/>
      <sheetName val="Pivot Calculated Fie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Count of Semester</v>
          </cell>
        </row>
        <row r="9">
          <cell r="A9" t="str">
            <v>Sum of Flex</v>
          </cell>
        </row>
        <row r="37">
          <cell r="A37" t="str">
            <v>Sum of Flex</v>
          </cell>
        </row>
        <row r="50">
          <cell r="A50" t="str">
            <v>Sum of Flex</v>
          </cell>
        </row>
        <row r="57">
          <cell r="A57" t="str">
            <v>Sum of Flex</v>
          </cell>
        </row>
        <row r="64">
          <cell r="A64" t="str">
            <v>Sum of Flex</v>
          </cell>
        </row>
        <row r="73">
          <cell r="A73" t="str">
            <v>Sum of Flex</v>
          </cell>
        </row>
        <row r="82">
          <cell r="A82" t="str">
            <v>Sum of Flex</v>
          </cell>
        </row>
        <row r="96">
          <cell r="A96" t="str">
            <v>Average of age</v>
          </cell>
        </row>
        <row r="105">
          <cell r="A105" t="str">
            <v>Sum of FTE</v>
          </cell>
        </row>
        <row r="113">
          <cell r="A113" t="str">
            <v>Sum of Flex</v>
          </cell>
        </row>
        <row r="128">
          <cell r="A128" t="str">
            <v>Sum of TotFund_Academic</v>
          </cell>
        </row>
        <row r="139">
          <cell r="A139" t="str">
            <v>Sum of TotFund_Technical</v>
          </cell>
        </row>
        <row r="150">
          <cell r="A150" t="str">
            <v>Sum of TotFund_Upper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3EE5-7CB0-4981-A39D-EEECD45AABFC}">
  <sheetPr>
    <pageSetUpPr fitToPage="1"/>
  </sheetPr>
  <dimension ref="A1:L71"/>
  <sheetViews>
    <sheetView tabSelected="1" zoomScale="130" zoomScaleNormal="130" workbookViewId="0">
      <selection activeCell="A63" sqref="A63"/>
    </sheetView>
  </sheetViews>
  <sheetFormatPr defaultColWidth="9.140625" defaultRowHeight="12" x14ac:dyDescent="0.2"/>
  <cols>
    <col min="1" max="1" width="32.140625" style="1" customWidth="1"/>
    <col min="2" max="7" width="9.28515625" style="1" customWidth="1"/>
    <col min="8" max="16384" width="9.140625" style="1"/>
  </cols>
  <sheetData>
    <row r="1" spans="1:11" ht="14.25" x14ac:dyDescent="0.2">
      <c r="A1" s="47" t="s">
        <v>0</v>
      </c>
      <c r="B1" s="47"/>
      <c r="C1" s="47"/>
      <c r="D1" s="47"/>
      <c r="E1" s="47"/>
      <c r="F1" s="47"/>
      <c r="G1" s="47"/>
    </row>
    <row r="2" spans="1:11" ht="12.75" thickBot="1" x14ac:dyDescent="0.25">
      <c r="A2" s="48" t="s">
        <v>1</v>
      </c>
      <c r="B2" s="48"/>
      <c r="C2" s="48"/>
      <c r="D2" s="48"/>
      <c r="E2" s="48"/>
      <c r="F2" s="48"/>
      <c r="G2" s="48"/>
    </row>
    <row r="3" spans="1:11" ht="12" customHeight="1" x14ac:dyDescent="0.2">
      <c r="A3" s="2"/>
      <c r="B3" s="49" t="s">
        <v>2</v>
      </c>
      <c r="C3" s="50"/>
      <c r="D3" s="49" t="s">
        <v>3</v>
      </c>
      <c r="E3" s="50"/>
      <c r="F3" s="49" t="s">
        <v>4</v>
      </c>
      <c r="G3" s="51"/>
    </row>
    <row r="4" spans="1:11" x14ac:dyDescent="0.2">
      <c r="A4" s="3"/>
      <c r="B4" s="4" t="s">
        <v>5</v>
      </c>
      <c r="C4" s="5" t="s">
        <v>6</v>
      </c>
      <c r="D4" s="4" t="s">
        <v>5</v>
      </c>
      <c r="E4" s="5" t="s">
        <v>7</v>
      </c>
      <c r="F4" s="4" t="s">
        <v>5</v>
      </c>
      <c r="G4" s="6" t="s">
        <v>7</v>
      </c>
    </row>
    <row r="5" spans="1:11" ht="12.75" customHeight="1" x14ac:dyDescent="0.2">
      <c r="A5" s="7" t="s">
        <v>55</v>
      </c>
      <c r="B5" s="8">
        <f>GETPIVOTDATA("Semester",[1]tables!$A$3,"Flex",1)</f>
        <v>5162</v>
      </c>
      <c r="C5" s="9">
        <v>1</v>
      </c>
      <c r="D5" s="8">
        <f>GETPIVOTDATA("Semester",[1]tables!$A$3,"Type_Major","Academic","Flex",1)</f>
        <v>3652</v>
      </c>
      <c r="E5" s="9">
        <v>1</v>
      </c>
      <c r="F5" s="8">
        <f>GETPIVOTDATA("Semester",[1]tables!$A$3,"Type_Major","Work Force","Flex",1)</f>
        <v>1510</v>
      </c>
      <c r="G5" s="10">
        <v>1</v>
      </c>
    </row>
    <row r="6" spans="1:11" x14ac:dyDescent="0.2">
      <c r="A6" s="11" t="s">
        <v>8</v>
      </c>
      <c r="B6" s="8">
        <f t="shared" ref="B6:B11" si="0">D6+F6</f>
        <v>798</v>
      </c>
      <c r="C6" s="9">
        <f>B6/(B$5)</f>
        <v>0.15459124370399069</v>
      </c>
      <c r="D6" s="8">
        <f>GETPIVOTDATA("Flex",[1]tables!$A$9,"Type_Major","Academic","status","First-time-in-College")</f>
        <v>527</v>
      </c>
      <c r="E6" s="9">
        <f>D6/(D$5)</f>
        <v>0.14430449069003287</v>
      </c>
      <c r="F6" s="8">
        <f>GETPIVOTDATA("Flex",[1]tables!$A$9,"Type_Major","Work Force","status","First-time-in-College")</f>
        <v>271</v>
      </c>
      <c r="G6" s="12">
        <f>F6/(F$5)</f>
        <v>0.17947019867549668</v>
      </c>
      <c r="J6" s="13"/>
    </row>
    <row r="7" spans="1:11" x14ac:dyDescent="0.2">
      <c r="A7" s="11" t="s">
        <v>9</v>
      </c>
      <c r="B7" s="8">
        <f t="shared" si="0"/>
        <v>230</v>
      </c>
      <c r="C7" s="9">
        <f>B7/(B$5)</f>
        <v>4.4556373498643935E-2</v>
      </c>
      <c r="D7" s="8">
        <f>IF(ISERR(GETPIVOTDATA("Flex",[1]tables!$A$9,"Type_Major","Academic","status","New transfer")),0,GETPIVOTDATA("Flex",[1]tables!$A$9,"Type_Major","Academic","status","New transfer"))</f>
        <v>131</v>
      </c>
      <c r="E7" s="9">
        <f>D7/(D$5)</f>
        <v>3.5870755750273819E-2</v>
      </c>
      <c r="F7" s="8">
        <f>IF(ISERR(GETPIVOTDATA("Flex",[1]tables!$A$9,"Type_Major","Work Force","status","New transfer")),0,GETPIVOTDATA("Flex",[1]tables!$A$9,"Type_Major","Work Force","status","New transfer"))</f>
        <v>99</v>
      </c>
      <c r="G7" s="12">
        <f>F7/(F$5)</f>
        <v>6.5562913907284762E-2</v>
      </c>
      <c r="J7" s="13"/>
    </row>
    <row r="8" spans="1:11" x14ac:dyDescent="0.2">
      <c r="A8" s="11" t="s">
        <v>10</v>
      </c>
      <c r="B8" s="8">
        <f t="shared" si="0"/>
        <v>2370</v>
      </c>
      <c r="C8" s="9">
        <f>B8/(B$5)</f>
        <v>0.45912437039907011</v>
      </c>
      <c r="D8" s="8">
        <f>GETPIVOTDATA("Flex",[1]tables!$A$9,"Type_Major","Academic","status","Continuing")</f>
        <v>1483</v>
      </c>
      <c r="E8" s="9">
        <f>D8/(D$5)</f>
        <v>0.40607886089813799</v>
      </c>
      <c r="F8" s="8">
        <f>GETPIVOTDATA("Flex",[1]tables!$A$9,"Type_Major","Work Force","status","Continuing")</f>
        <v>887</v>
      </c>
      <c r="G8" s="12">
        <f>F8/(F$5)</f>
        <v>0.5874172185430464</v>
      </c>
    </row>
    <row r="9" spans="1:11" x14ac:dyDescent="0.2">
      <c r="A9" s="11" t="s">
        <v>11</v>
      </c>
      <c r="B9" s="8">
        <f t="shared" si="0"/>
        <v>1469</v>
      </c>
      <c r="C9" s="9">
        <f t="shared" ref="C9:C10" si="1">B9/(B$5)</f>
        <v>0.28457962030220846</v>
      </c>
      <c r="D9" s="8">
        <f>GETPIVOTDATA("Flex",[1]tables!$A$9,"Type_Major","Academic","status","Dual Credit")</f>
        <v>1243</v>
      </c>
      <c r="E9" s="9">
        <f>D9/D5</f>
        <v>0.34036144578313254</v>
      </c>
      <c r="F9" s="8">
        <f>GETPIVOTDATA("Flex",[1]tables!$A$9,"Type_Major","Work Force","status","Dual Credit")</f>
        <v>226</v>
      </c>
      <c r="G9" s="12">
        <f>F9/F5</f>
        <v>0.14966887417218544</v>
      </c>
    </row>
    <row r="10" spans="1:11" x14ac:dyDescent="0.2">
      <c r="A10" s="11" t="s">
        <v>12</v>
      </c>
      <c r="B10" s="8">
        <f t="shared" si="0"/>
        <v>295</v>
      </c>
      <c r="C10" s="9">
        <f t="shared" si="1"/>
        <v>5.7148392096086791E-2</v>
      </c>
      <c r="D10" s="8">
        <f>GETPIVOTDATA("Flex",[1]tables!$A$9,"Type_Major","Academic","status","Collegiate High Schoo")</f>
        <v>268</v>
      </c>
      <c r="E10" s="9">
        <f>D10/D5</f>
        <v>7.3384446878422785E-2</v>
      </c>
      <c r="F10" s="8">
        <f>GETPIVOTDATA("Flex",[1]tables!$A$9,"Type_Major","Work Force","status","Collegiate High Schoo")</f>
        <v>27</v>
      </c>
      <c r="G10" s="12">
        <f>F10/F5</f>
        <v>1.7880794701986755E-2</v>
      </c>
    </row>
    <row r="11" spans="1:11" x14ac:dyDescent="0.2">
      <c r="A11" s="7" t="s">
        <v>13</v>
      </c>
      <c r="B11" s="8">
        <f t="shared" si="0"/>
        <v>1009</v>
      </c>
      <c r="C11" s="9"/>
      <c r="D11" s="8">
        <f>IF(ISERR(GETPIVOTDATA("Semester",[1]tables!$A$3,"Type_Major","Academic","Flex",0)),0,GETPIVOTDATA("Semester",[1]tables!$A$3,"Type_Major","Academic","Flex",0))</f>
        <v>826</v>
      </c>
      <c r="E11" s="9"/>
      <c r="F11" s="8">
        <f>IF(ISERR(GETPIVOTDATA("Semester",[1]tables!$A$3,"Type_Major","Work Force","Flex",0)),0,GETPIVOTDATA("Semester",[1]tables!$A$3,"Type_Major","Work Force","Flex",0))</f>
        <v>183</v>
      </c>
      <c r="G11" s="12"/>
      <c r="I11" s="13"/>
      <c r="J11" s="13"/>
      <c r="K11" s="13"/>
    </row>
    <row r="12" spans="1:11" x14ac:dyDescent="0.2">
      <c r="A12" s="7" t="s">
        <v>14</v>
      </c>
      <c r="B12" s="14"/>
      <c r="C12" s="15"/>
      <c r="D12" s="14"/>
      <c r="E12" s="9"/>
      <c r="F12" s="14"/>
      <c r="G12" s="12"/>
      <c r="J12" s="13"/>
      <c r="K12" s="13"/>
    </row>
    <row r="13" spans="1:11" x14ac:dyDescent="0.2">
      <c r="A13" s="11" t="s">
        <v>15</v>
      </c>
      <c r="B13" s="8">
        <f t="shared" ref="B13:B42" si="2">D13+F13</f>
        <v>1839</v>
      </c>
      <c r="C13" s="9">
        <f t="shared" ref="C13:C17" si="3">B13/(B$5)</f>
        <v>0.3562572646261139</v>
      </c>
      <c r="D13" s="8">
        <f>GETPIVOTDATA("Flex",[1]tables!$A$37,"Type_Major","Academic","Ethnicity","White")</f>
        <v>1362</v>
      </c>
      <c r="E13" s="9">
        <f t="shared" ref="E13:E17" si="4">D13/(D$5)</f>
        <v>0.3729463307776561</v>
      </c>
      <c r="F13" s="8">
        <f>GETPIVOTDATA("Flex",[1]tables!$A$37,"Type_Major","Work Force","Ethnicity","White")</f>
        <v>477</v>
      </c>
      <c r="G13" s="12">
        <f t="shared" ref="G13:G16" si="5">F13/(F$5)</f>
        <v>0.31589403973509933</v>
      </c>
      <c r="I13" s="13"/>
    </row>
    <row r="14" spans="1:11" x14ac:dyDescent="0.2">
      <c r="A14" s="11" t="s">
        <v>16</v>
      </c>
      <c r="B14" s="8">
        <f t="shared" si="2"/>
        <v>814</v>
      </c>
      <c r="C14" s="9">
        <f t="shared" si="3"/>
        <v>0.15769081751259201</v>
      </c>
      <c r="D14" s="8">
        <f>GETPIVOTDATA("Flex",[1]tables!$A$37,"Type_Major","Academic","Ethnicity","Black")</f>
        <v>512</v>
      </c>
      <c r="E14" s="9">
        <f t="shared" si="4"/>
        <v>0.14019715224534501</v>
      </c>
      <c r="F14" s="8">
        <f>GETPIVOTDATA("Flex",[1]tables!$A$37,"Type_Major","Work Force","Ethnicity","Black")</f>
        <v>302</v>
      </c>
      <c r="G14" s="12">
        <f t="shared" si="5"/>
        <v>0.2</v>
      </c>
      <c r="J14" s="13"/>
      <c r="K14" s="13"/>
    </row>
    <row r="15" spans="1:11" x14ac:dyDescent="0.2">
      <c r="A15" s="11" t="s">
        <v>17</v>
      </c>
      <c r="B15" s="8">
        <f t="shared" si="2"/>
        <v>1925</v>
      </c>
      <c r="C15" s="9">
        <f t="shared" si="3"/>
        <v>0.37291747384734597</v>
      </c>
      <c r="D15" s="8">
        <f>GETPIVOTDATA("Flex",[1]tables!$A$37,"Type_Major","Academic","Ethnicity","Hispanic")</f>
        <v>1342</v>
      </c>
      <c r="E15" s="9">
        <f t="shared" si="4"/>
        <v>0.36746987951807231</v>
      </c>
      <c r="F15" s="8">
        <f>GETPIVOTDATA("Flex",[1]tables!$A$37,"Type_Major","Work Force","Ethnicity","Hispanic")</f>
        <v>583</v>
      </c>
      <c r="G15" s="12">
        <f t="shared" si="5"/>
        <v>0.38609271523178806</v>
      </c>
      <c r="I15" s="13"/>
      <c r="J15" s="13"/>
      <c r="K15" s="13"/>
    </row>
    <row r="16" spans="1:11" x14ac:dyDescent="0.2">
      <c r="A16" s="11" t="s">
        <v>18</v>
      </c>
      <c r="B16" s="8">
        <f t="shared" si="2"/>
        <v>139</v>
      </c>
      <c r="C16" s="9">
        <f t="shared" si="3"/>
        <v>2.6927547462223943E-2</v>
      </c>
      <c r="D16" s="8">
        <f>GETPIVOTDATA("Flex",[1]tables!$A$37,"Type_Major","Academic","Ethnicity","Asian")</f>
        <v>100</v>
      </c>
      <c r="E16" s="9">
        <f t="shared" si="4"/>
        <v>2.7382256297918947E-2</v>
      </c>
      <c r="F16" s="8">
        <f>GETPIVOTDATA("Flex",[1]tables!$A$37,"Type_Major","Work Force","Ethnicity","Asian")</f>
        <v>39</v>
      </c>
      <c r="G16" s="12">
        <f t="shared" si="5"/>
        <v>2.5827814569536423E-2</v>
      </c>
      <c r="I16" s="13"/>
      <c r="J16" s="13"/>
      <c r="K16" s="13"/>
    </row>
    <row r="17" spans="1:11" x14ac:dyDescent="0.2">
      <c r="A17" s="11" t="s">
        <v>19</v>
      </c>
      <c r="B17" s="8">
        <f>D17+F17</f>
        <v>445</v>
      </c>
      <c r="C17" s="9">
        <f t="shared" si="3"/>
        <v>8.6206896551724144E-2</v>
      </c>
      <c r="D17" s="8">
        <f>IF(ISERR(GETPIVOTDATA("Flex",[1]tables!$A$37,"Type_Major","Academic","Ethnicity","Other")),0,GETPIVOTDATA("Flex",[1]tables!$A$37,"Type_Major","Academic","Ethnicity","Other"))</f>
        <v>336</v>
      </c>
      <c r="E17" s="9">
        <f t="shared" si="4"/>
        <v>9.2004381161007662E-2</v>
      </c>
      <c r="F17" s="8">
        <f>IF(ISERR(GETPIVOTDATA("Flex",[1]tables!$A$37,"Type_Major","Work Force","Ethnicity","Other")),0,GETPIVOTDATA("Flex",[1]tables!$A$37,"Type_Major","Work Force","Ethnicity","Other"))</f>
        <v>109</v>
      </c>
      <c r="G17" s="12">
        <f>F17/(F$5)</f>
        <v>7.2185430463576158E-2</v>
      </c>
      <c r="I17" s="13"/>
      <c r="J17" s="13"/>
      <c r="K17" s="13"/>
    </row>
    <row r="18" spans="1:11" x14ac:dyDescent="0.2">
      <c r="A18" s="7" t="s">
        <v>20</v>
      </c>
      <c r="B18" s="8"/>
      <c r="C18" s="9"/>
      <c r="D18" s="14"/>
      <c r="E18" s="9"/>
      <c r="F18" s="14"/>
      <c r="G18" s="12"/>
      <c r="I18" s="13"/>
      <c r="J18" s="13"/>
      <c r="K18" s="13"/>
    </row>
    <row r="19" spans="1:11" x14ac:dyDescent="0.2">
      <c r="A19" s="11" t="s">
        <v>21</v>
      </c>
      <c r="B19" s="8">
        <f t="shared" si="2"/>
        <v>3238</v>
      </c>
      <c r="C19" s="9">
        <f>B19/(B$5)</f>
        <v>0.62727624951569161</v>
      </c>
      <c r="D19" s="8">
        <f>GETPIVOTDATA("Flex",[1]tables!$A$50,"Gender","F","Type_Major","Academic")</f>
        <v>2412</v>
      </c>
      <c r="E19" s="9">
        <f>D19/(D$5)</f>
        <v>0.66046002190580499</v>
      </c>
      <c r="F19" s="8">
        <f>GETPIVOTDATA("Flex",[1]tables!$A$50,"Gender","F","Type_Major","Work Force")</f>
        <v>826</v>
      </c>
      <c r="G19" s="12">
        <f>F19/(F$5)</f>
        <v>0.54701986754966891</v>
      </c>
      <c r="I19" s="13"/>
      <c r="J19" s="13"/>
    </row>
    <row r="20" spans="1:11" x14ac:dyDescent="0.2">
      <c r="A20" s="11" t="s">
        <v>22</v>
      </c>
      <c r="B20" s="8">
        <f t="shared" si="2"/>
        <v>1924</v>
      </c>
      <c r="C20" s="9">
        <f>B20/(B$5)</f>
        <v>0.37272375048430839</v>
      </c>
      <c r="D20" s="8">
        <f>GETPIVOTDATA("Flex",[1]tables!$A$50,"Gender","M","Type_Major","Academic")</f>
        <v>1240</v>
      </c>
      <c r="E20" s="9">
        <f>D20/(D$5)</f>
        <v>0.33953997809419495</v>
      </c>
      <c r="F20" s="8">
        <f>GETPIVOTDATA("Flex",[1]tables!$A$50,"Gender","M","Type_Major","Work Force")</f>
        <v>684</v>
      </c>
      <c r="G20" s="12">
        <f>F20/(F$5)</f>
        <v>0.45298013245033114</v>
      </c>
      <c r="J20" s="13"/>
    </row>
    <row r="21" spans="1:11" x14ac:dyDescent="0.2">
      <c r="A21" s="7" t="s">
        <v>23</v>
      </c>
      <c r="B21" s="8"/>
      <c r="C21" s="9"/>
      <c r="D21" s="8"/>
      <c r="E21" s="9"/>
      <c r="F21" s="8"/>
      <c r="G21" s="12"/>
      <c r="J21" s="13"/>
    </row>
    <row r="22" spans="1:11" x14ac:dyDescent="0.2">
      <c r="A22" s="11" t="s">
        <v>24</v>
      </c>
      <c r="B22" s="8">
        <f t="shared" si="2"/>
        <v>276</v>
      </c>
      <c r="C22" s="9">
        <f>B22/(B$5)</f>
        <v>5.3467648198372721E-2</v>
      </c>
      <c r="D22" s="8">
        <f>GETPIVOTDATA("Flex",[1]tables!$A$57,"Type_Major","Academic","PTFT","1")</f>
        <v>128</v>
      </c>
      <c r="E22" s="9">
        <f>D22/(D$5)</f>
        <v>3.5049288061336253E-2</v>
      </c>
      <c r="F22" s="8">
        <f>GETPIVOTDATA("Flex",[1]tables!$A$57,"Type_Major","Work Force","ptft","1")</f>
        <v>148</v>
      </c>
      <c r="G22" s="12">
        <f>F22/(F$5)</f>
        <v>9.8013245033112581E-2</v>
      </c>
    </row>
    <row r="23" spans="1:11" x14ac:dyDescent="0.2">
      <c r="A23" s="11" t="s">
        <v>25</v>
      </c>
      <c r="B23" s="8">
        <f t="shared" si="2"/>
        <v>4886</v>
      </c>
      <c r="C23" s="9">
        <f>B23/(B$5)</f>
        <v>0.94653235180162731</v>
      </c>
      <c r="D23" s="8">
        <f>GETPIVOTDATA("Flex",[1]tables!$A$57,"Type_Major","Academic","ptft","2")</f>
        <v>3524</v>
      </c>
      <c r="E23" s="9">
        <f>D23/(D$5)</f>
        <v>0.96495071193866377</v>
      </c>
      <c r="F23" s="8">
        <f>GETPIVOTDATA("Flex",[1]tables!$A$57,"Type_Major","Work Force","ptft","2")</f>
        <v>1362</v>
      </c>
      <c r="G23" s="12">
        <f>F23/(F$5)</f>
        <v>0.90198675496688741</v>
      </c>
    </row>
    <row r="24" spans="1:11" x14ac:dyDescent="0.2">
      <c r="A24" s="7" t="s">
        <v>26</v>
      </c>
      <c r="B24" s="8">
        <f t="shared" si="2"/>
        <v>1432</v>
      </c>
      <c r="C24" s="9">
        <f>B24/(B$5)</f>
        <v>0.27741185586981792</v>
      </c>
      <c r="D24" s="8">
        <f>GETPIVOTDATA("Flex",[1]tables!$A$64,"Type_Major","Academic","Pell","Pell")</f>
        <v>905</v>
      </c>
      <c r="E24" s="9">
        <f>D24/(D$5)</f>
        <v>0.24780941949616647</v>
      </c>
      <c r="F24" s="8">
        <f>GETPIVOTDATA("Flex",[1]tables!$A$64,"Type_Major","Work Force","Pell","Pell")</f>
        <v>527</v>
      </c>
      <c r="G24" s="12">
        <f>F24/(F$5)</f>
        <v>0.34900662251655629</v>
      </c>
    </row>
    <row r="25" spans="1:11" x14ac:dyDescent="0.2">
      <c r="A25" s="7" t="s">
        <v>27</v>
      </c>
      <c r="B25" s="8"/>
      <c r="C25" s="9"/>
      <c r="D25" s="14"/>
      <c r="E25" s="9"/>
      <c r="F25" s="14"/>
      <c r="G25" s="12"/>
    </row>
    <row r="26" spans="1:11" x14ac:dyDescent="0.2">
      <c r="A26" s="11" t="s">
        <v>28</v>
      </c>
      <c r="B26" s="8">
        <f t="shared" si="2"/>
        <v>3357</v>
      </c>
      <c r="C26" s="9">
        <f t="shared" ref="C26:C43" si="6">B26/(B$5)</f>
        <v>0.65032932971716384</v>
      </c>
      <c r="D26" s="8">
        <f>GETPIVOTDATA("Flex",[1]tables!$A$73,"Tuition","In-District","Type_Major","Academic")</f>
        <v>2337</v>
      </c>
      <c r="E26" s="9">
        <f t="shared" ref="E26:E43" si="7">D26/(D$5)</f>
        <v>0.63992332968236587</v>
      </c>
      <c r="F26" s="8">
        <f>GETPIVOTDATA("Flex",[1]tables!$A$73,"Tuition","In-District","Type_Major","Work Force")</f>
        <v>1020</v>
      </c>
      <c r="G26" s="12">
        <f t="shared" ref="G26:G43" si="8">F26/(F$5)</f>
        <v>0.67549668874172186</v>
      </c>
    </row>
    <row r="27" spans="1:11" x14ac:dyDescent="0.2">
      <c r="A27" s="11" t="s">
        <v>29</v>
      </c>
      <c r="B27" s="8">
        <f t="shared" si="2"/>
        <v>1619</v>
      </c>
      <c r="C27" s="9">
        <f t="shared" si="6"/>
        <v>0.3136381247578458</v>
      </c>
      <c r="D27" s="8">
        <f>GETPIVOTDATA("Flex",[1]tables!$A$73,"Tuition","Out-of-District","Type_Major","Academic")</f>
        <v>1199</v>
      </c>
      <c r="E27" s="9">
        <f t="shared" si="7"/>
        <v>0.32831325301204817</v>
      </c>
      <c r="F27" s="8">
        <f>GETPIVOTDATA("Flex",[1]tables!$A$73,"Tuition","Out-of-District","Type_Major","Work Force")</f>
        <v>420</v>
      </c>
      <c r="G27" s="12">
        <f t="shared" si="8"/>
        <v>0.27814569536423839</v>
      </c>
    </row>
    <row r="28" spans="1:11" ht="13.5" x14ac:dyDescent="0.2">
      <c r="A28" s="11" t="s">
        <v>56</v>
      </c>
      <c r="B28" s="8">
        <f>D28+F28</f>
        <v>186</v>
      </c>
      <c r="C28" s="9">
        <f t="shared" si="6"/>
        <v>3.6032545524990314E-2</v>
      </c>
      <c r="D28" s="8">
        <f>GETPIVOTDATA("Flex",[1]tables!$A$73,"Tuition","Other","Type_Major","Academic")</f>
        <v>116</v>
      </c>
      <c r="E28" s="9">
        <f t="shared" si="7"/>
        <v>3.1763417305585982E-2</v>
      </c>
      <c r="F28" s="8">
        <f>GETPIVOTDATA("Flex",[1]tables!$A$73,"Tuition","Other","Type_Major","Work Force")</f>
        <v>70</v>
      </c>
      <c r="G28" s="12">
        <f t="shared" si="8"/>
        <v>4.6357615894039736E-2</v>
      </c>
    </row>
    <row r="29" spans="1:11" x14ac:dyDescent="0.2">
      <c r="A29" s="7" t="s">
        <v>30</v>
      </c>
      <c r="B29" s="8"/>
      <c r="C29" s="9"/>
      <c r="D29" s="14"/>
      <c r="E29" s="9"/>
      <c r="F29" s="14"/>
      <c r="G29" s="12"/>
      <c r="I29" s="13"/>
      <c r="J29" s="13"/>
      <c r="K29" s="13"/>
    </row>
    <row r="30" spans="1:11" x14ac:dyDescent="0.2">
      <c r="A30" s="11" t="s">
        <v>31</v>
      </c>
      <c r="B30" s="8">
        <f t="shared" si="2"/>
        <v>963</v>
      </c>
      <c r="C30" s="9">
        <f t="shared" si="6"/>
        <v>0.18655559860519177</v>
      </c>
      <c r="D30" s="8">
        <f>GETPIVOTDATA("Flex",[1]tables!$A$82,"Type_Major","Academic","City","Dickinson")</f>
        <v>702</v>
      </c>
      <c r="E30" s="9">
        <f t="shared" si="7"/>
        <v>0.19222343921139101</v>
      </c>
      <c r="F30" s="8">
        <f>GETPIVOTDATA("Flex",[1]tables!$A$82,"Type_Major","Work Force","City","Dickinson")</f>
        <v>261</v>
      </c>
      <c r="G30" s="12">
        <f t="shared" si="8"/>
        <v>0.17284768211920529</v>
      </c>
    </row>
    <row r="31" spans="1:11" x14ac:dyDescent="0.2">
      <c r="A31" s="11" t="s">
        <v>32</v>
      </c>
      <c r="B31" s="8">
        <f>D31+F31</f>
        <v>489</v>
      </c>
      <c r="C31" s="9">
        <f t="shared" si="6"/>
        <v>9.4730724525377757E-2</v>
      </c>
      <c r="D31" s="8">
        <f>GETPIVOTDATA("Flex",[1]tables!$A$82,"Type_Major","Academic","City","Friendswood")</f>
        <v>423</v>
      </c>
      <c r="E31" s="9">
        <f t="shared" si="7"/>
        <v>0.11582694414019715</v>
      </c>
      <c r="F31" s="8">
        <f>GETPIVOTDATA("Flex",[1]tables!$A$82,"Type_Major","Work Force","City","Friendswood")</f>
        <v>66</v>
      </c>
      <c r="G31" s="12">
        <f t="shared" si="8"/>
        <v>4.3708609271523181E-2</v>
      </c>
    </row>
    <row r="32" spans="1:11" x14ac:dyDescent="0.2">
      <c r="A32" s="11" t="s">
        <v>33</v>
      </c>
      <c r="B32" s="8">
        <f t="shared" si="2"/>
        <v>200</v>
      </c>
      <c r="C32" s="9">
        <f t="shared" si="6"/>
        <v>3.8744672607516469E-2</v>
      </c>
      <c r="D32" s="8">
        <f>IF(ISERR(GETPIVOTDATA("Flex",[1]tables!$A$82,"Type_Major","Academic","City","Hitchcock")),0,GETPIVOTDATA("Flex",[1]tables!$A$82,"Type_Major","Academic","City","Hitchcock"))</f>
        <v>114</v>
      </c>
      <c r="E32" s="9">
        <f t="shared" si="7"/>
        <v>3.12157721796276E-2</v>
      </c>
      <c r="F32" s="8">
        <f>IF(ISERR(GETPIVOTDATA("Flex",[1]tables!$A$82,"Type_Major","Work Force","City","Hitchcock")),0,GETPIVOTDATA("Flex",[1]tables!$A$82,"Type_Major","Work Force","City","Hitchcock"))</f>
        <v>86</v>
      </c>
      <c r="G32" s="12">
        <f t="shared" si="8"/>
        <v>5.6953642384105961E-2</v>
      </c>
    </row>
    <row r="33" spans="1:12" x14ac:dyDescent="0.2">
      <c r="A33" s="11" t="s">
        <v>34</v>
      </c>
      <c r="B33" s="8">
        <f t="shared" si="2"/>
        <v>476</v>
      </c>
      <c r="C33" s="9">
        <f t="shared" si="6"/>
        <v>9.2212320805889189E-2</v>
      </c>
      <c r="D33" s="8">
        <f>GETPIVOTDATA("Flex",[1]tables!$A$82,"Type_Major","Academic","City","La Marque")</f>
        <v>324</v>
      </c>
      <c r="E33" s="9">
        <f t="shared" si="7"/>
        <v>8.8718510405257398E-2</v>
      </c>
      <c r="F33" s="8">
        <f>GETPIVOTDATA("Flex",[1]tables!$A$82,"Type_Major","Work Force","City","La Marque")</f>
        <v>152</v>
      </c>
      <c r="G33" s="12">
        <f t="shared" si="8"/>
        <v>0.10066225165562914</v>
      </c>
    </row>
    <row r="34" spans="1:12" x14ac:dyDescent="0.2">
      <c r="A34" s="11" t="s">
        <v>35</v>
      </c>
      <c r="B34" s="8">
        <f t="shared" si="2"/>
        <v>698</v>
      </c>
      <c r="C34" s="9">
        <f t="shared" si="6"/>
        <v>0.13521890740023246</v>
      </c>
      <c r="D34" s="8">
        <f>GETPIVOTDATA("Flex",[1]tables!$A$82,"Type_Major","Academic","City","League City")</f>
        <v>527</v>
      </c>
      <c r="E34" s="9">
        <f t="shared" si="7"/>
        <v>0.14430449069003287</v>
      </c>
      <c r="F34" s="8">
        <f>GETPIVOTDATA("Flex",[1]tables!$A$82,"Type_Major","Work Force","City","League City")</f>
        <v>171</v>
      </c>
      <c r="G34" s="12">
        <f t="shared" si="8"/>
        <v>0.11324503311258279</v>
      </c>
    </row>
    <row r="35" spans="1:12" x14ac:dyDescent="0.2">
      <c r="A35" s="11" t="s">
        <v>36</v>
      </c>
      <c r="B35" s="8">
        <f t="shared" si="2"/>
        <v>439</v>
      </c>
      <c r="C35" s="9">
        <f t="shared" si="6"/>
        <v>8.5044556373498642E-2</v>
      </c>
      <c r="D35" s="8">
        <f>GETPIVOTDATA("Flex",[1]tables!$A$82,"Type_Major","Academic","City","Santa Fe")</f>
        <v>294</v>
      </c>
      <c r="E35" s="9">
        <f t="shared" si="7"/>
        <v>8.0503833515881709E-2</v>
      </c>
      <c r="F35" s="8">
        <f>GETPIVOTDATA("Flex",[1]tables!$A$82,"Type_Major","Work Force","City","Santa Fe")</f>
        <v>145</v>
      </c>
      <c r="G35" s="12">
        <f t="shared" si="8"/>
        <v>9.602649006622517E-2</v>
      </c>
      <c r="J35" s="13"/>
      <c r="K35" s="13"/>
      <c r="L35" s="13"/>
    </row>
    <row r="36" spans="1:12" x14ac:dyDescent="0.2">
      <c r="A36" s="11" t="s">
        <v>37</v>
      </c>
      <c r="B36" s="8">
        <f t="shared" si="2"/>
        <v>1199</v>
      </c>
      <c r="C36" s="9">
        <f t="shared" si="6"/>
        <v>0.23227431228206122</v>
      </c>
      <c r="D36" s="8">
        <f>GETPIVOTDATA("Flex",[1]tables!$A$82,"Type_Major","Academic","City","Texas City")</f>
        <v>840</v>
      </c>
      <c r="E36" s="9">
        <f t="shared" si="7"/>
        <v>0.23001095290251916</v>
      </c>
      <c r="F36" s="8">
        <f>GETPIVOTDATA("Flex",[1]tables!$A$82,"Type_Major","Work Force","City","Texas City")</f>
        <v>359</v>
      </c>
      <c r="G36" s="12">
        <f t="shared" si="8"/>
        <v>0.23774834437086093</v>
      </c>
    </row>
    <row r="37" spans="1:12" x14ac:dyDescent="0.2">
      <c r="A37" s="11" t="s">
        <v>38</v>
      </c>
      <c r="B37" s="8">
        <f>D37+F37</f>
        <v>698</v>
      </c>
      <c r="C37" s="9">
        <f t="shared" si="6"/>
        <v>0.13521890740023246</v>
      </c>
      <c r="D37" s="8">
        <f>GETPIVOTDATA("Flex",[1]tables!$A$82,"Type_Major","Academic","City","All Others")</f>
        <v>428</v>
      </c>
      <c r="E37" s="9">
        <f t="shared" si="7"/>
        <v>0.11719605695509309</v>
      </c>
      <c r="F37" s="8">
        <f>GETPIVOTDATA("Flex",[1]tables!$A$82,"Type_Major","Work Force","City","All Others")</f>
        <v>270</v>
      </c>
      <c r="G37" s="12">
        <f t="shared" si="8"/>
        <v>0.17880794701986755</v>
      </c>
      <c r="J37" s="13"/>
    </row>
    <row r="38" spans="1:12" x14ac:dyDescent="0.2">
      <c r="A38" s="7" t="s">
        <v>39</v>
      </c>
      <c r="B38" s="8"/>
      <c r="C38" s="9"/>
      <c r="D38" s="14"/>
      <c r="E38" s="9"/>
      <c r="F38" s="14"/>
      <c r="G38" s="12"/>
    </row>
    <row r="39" spans="1:12" x14ac:dyDescent="0.2">
      <c r="A39" s="11" t="s">
        <v>40</v>
      </c>
      <c r="B39" s="8">
        <f t="shared" si="2"/>
        <v>1868</v>
      </c>
      <c r="C39" s="9">
        <f t="shared" si="6"/>
        <v>0.3618752421542038</v>
      </c>
      <c r="D39" s="8">
        <f>GETPIVOTDATA("Flex",[1]tables!$A$113,"Type_Major","Academic","age_group","Under 18")</f>
        <v>1585</v>
      </c>
      <c r="E39" s="9">
        <f t="shared" si="7"/>
        <v>0.43400876232201535</v>
      </c>
      <c r="F39" s="8">
        <f>GETPIVOTDATA("Flex",[1]tables!$A$113,"Type_Major","Work Force","age_group","Under 18")</f>
        <v>283</v>
      </c>
      <c r="G39" s="12">
        <f t="shared" si="8"/>
        <v>0.18741721854304635</v>
      </c>
    </row>
    <row r="40" spans="1:12" x14ac:dyDescent="0.2">
      <c r="A40" s="11" t="s">
        <v>41</v>
      </c>
      <c r="B40" s="8">
        <f t="shared" si="2"/>
        <v>2182</v>
      </c>
      <c r="C40" s="9">
        <f t="shared" si="6"/>
        <v>0.42270437814800466</v>
      </c>
      <c r="D40" s="8">
        <f>GETPIVOTDATA("Flex",[1]tables!$A$113,"Type_Major","Academic","age_group","18-24")</f>
        <v>1511</v>
      </c>
      <c r="E40" s="9">
        <f t="shared" si="7"/>
        <v>0.41374589266155531</v>
      </c>
      <c r="F40" s="8">
        <f>GETPIVOTDATA("Flex",[1]tables!$A$113,"Type_Major","Work Force","age_group","18-24")</f>
        <v>671</v>
      </c>
      <c r="G40" s="12">
        <f t="shared" si="8"/>
        <v>0.44437086092715233</v>
      </c>
    </row>
    <row r="41" spans="1:12" x14ac:dyDescent="0.2">
      <c r="A41" s="11" t="s">
        <v>42</v>
      </c>
      <c r="B41" s="8">
        <f t="shared" si="2"/>
        <v>677</v>
      </c>
      <c r="C41" s="9">
        <f t="shared" si="6"/>
        <v>0.13115071677644324</v>
      </c>
      <c r="D41" s="8">
        <f>GETPIVOTDATA("Flex",[1]tables!$A$113,"Type_Major","Academic","age_group","25-34")</f>
        <v>350</v>
      </c>
      <c r="E41" s="9">
        <f t="shared" si="7"/>
        <v>9.5837897042716322E-2</v>
      </c>
      <c r="F41" s="8">
        <f>GETPIVOTDATA("Flex",[1]tables!$A$113,"Type_Major","Work Force","age_group","25-34")</f>
        <v>327</v>
      </c>
      <c r="G41" s="12">
        <f t="shared" si="8"/>
        <v>0.21655629139072849</v>
      </c>
    </row>
    <row r="42" spans="1:12" x14ac:dyDescent="0.2">
      <c r="A42" s="11" t="s">
        <v>43</v>
      </c>
      <c r="B42" s="8">
        <f t="shared" si="2"/>
        <v>309</v>
      </c>
      <c r="C42" s="9">
        <f t="shared" si="6"/>
        <v>5.9860519178612938E-2</v>
      </c>
      <c r="D42" s="8">
        <f>GETPIVOTDATA("Flex",[1]tables!$A$113,"Type_Major","Academic","age_group","35-44")</f>
        <v>151</v>
      </c>
      <c r="E42" s="9">
        <f t="shared" si="7"/>
        <v>4.1347207009857612E-2</v>
      </c>
      <c r="F42" s="8">
        <f>GETPIVOTDATA("Flex",[1]tables!$A$113,"Type_Major","Work Force","age_group","35-44")</f>
        <v>158</v>
      </c>
      <c r="G42" s="12">
        <f t="shared" si="8"/>
        <v>0.10463576158940398</v>
      </c>
    </row>
    <row r="43" spans="1:12" x14ac:dyDescent="0.2">
      <c r="A43" s="11" t="s">
        <v>44</v>
      </c>
      <c r="B43" s="8">
        <f>D43+F43</f>
        <v>126</v>
      </c>
      <c r="C43" s="9">
        <f t="shared" si="6"/>
        <v>2.4409143742735374E-2</v>
      </c>
      <c r="D43" s="8">
        <f>GETPIVOTDATA("Flex",[1]tables!$A$113,"Type_Major","Academic","age_group","45 and Over")</f>
        <v>55</v>
      </c>
      <c r="E43" s="9">
        <f t="shared" si="7"/>
        <v>1.5060240963855422E-2</v>
      </c>
      <c r="F43" s="8">
        <f>GETPIVOTDATA("Flex",[1]tables!$A$113,"Type_Major","Work Force","age_group","45 and Over")</f>
        <v>71</v>
      </c>
      <c r="G43" s="12">
        <f t="shared" si="8"/>
        <v>4.7019867549668873E-2</v>
      </c>
    </row>
    <row r="44" spans="1:12" x14ac:dyDescent="0.2">
      <c r="A44" s="7" t="s">
        <v>45</v>
      </c>
      <c r="B44" s="8">
        <f>GETPIVOTDATA("age",[1]tables!$A$96,"Flex",1)</f>
        <v>21.592987214258038</v>
      </c>
      <c r="C44" s="16"/>
      <c r="D44" s="8">
        <f>GETPIVOTDATA("age",[1]tables!$A$96,"Type_Major","Academic","Flex",1)</f>
        <v>20.311610076670316</v>
      </c>
      <c r="E44" s="16"/>
      <c r="F44" s="8">
        <f>GETPIVOTDATA("age",[1]tables!$A$96,"Type_Major","Work Force","Flex",1)</f>
        <v>24.692052980132452</v>
      </c>
      <c r="G44" s="17"/>
    </row>
    <row r="45" spans="1:12" ht="13.5" thickBot="1" x14ac:dyDescent="0.25">
      <c r="A45" s="18" t="s">
        <v>57</v>
      </c>
      <c r="B45" s="19">
        <f>D45+F45</f>
        <v>2688.8333333296496</v>
      </c>
      <c r="C45" s="20"/>
      <c r="D45" s="19">
        <f>GETPIVOTDATA("FTE",[1]tables!$A$105,"Type_Major","Academic")</f>
        <v>1798.6666666633143</v>
      </c>
      <c r="E45" s="20"/>
      <c r="F45" s="19">
        <f>GETPIVOTDATA("FTE",[1]tables!$A$105,"Type_Major","Work Force")</f>
        <v>890.16666666633523</v>
      </c>
      <c r="G45" s="21"/>
    </row>
    <row r="46" spans="1:12" ht="25.5" customHeight="1" x14ac:dyDescent="0.2">
      <c r="A46" s="22" t="s">
        <v>58</v>
      </c>
      <c r="B46" s="52" t="s">
        <v>46</v>
      </c>
      <c r="C46" s="53"/>
      <c r="D46" s="52" t="s">
        <v>47</v>
      </c>
      <c r="E46" s="52"/>
      <c r="F46" s="52" t="s">
        <v>48</v>
      </c>
      <c r="G46" s="54"/>
    </row>
    <row r="47" spans="1:12" x14ac:dyDescent="0.2">
      <c r="A47" s="23"/>
      <c r="B47" s="4" t="s">
        <v>49</v>
      </c>
      <c r="C47" s="24" t="s">
        <v>50</v>
      </c>
      <c r="D47" s="4" t="s">
        <v>49</v>
      </c>
      <c r="E47" s="24" t="s">
        <v>50</v>
      </c>
      <c r="F47" s="4" t="s">
        <v>49</v>
      </c>
      <c r="G47" s="25" t="s">
        <v>50</v>
      </c>
    </row>
    <row r="48" spans="1:12" ht="12" customHeight="1" x14ac:dyDescent="0.2">
      <c r="A48" s="26" t="s">
        <v>28</v>
      </c>
      <c r="B48" s="27">
        <f>GETPIVOTDATA("TotFund_Academic",[1]tables!$A$128,"tuition","In-District","Flex",1)</f>
        <v>313728</v>
      </c>
      <c r="C48" s="28">
        <f>GETPIVOTDATA("TotFund_Academic",[1]tables!$A$128,"tuition","In-District","Flex",0)</f>
        <v>43584</v>
      </c>
      <c r="D48" s="27">
        <f>GETPIVOTDATA("TotFund_Technical",[1]tables!$A$139,"tuition","In-District","Flex",1)</f>
        <v>139424</v>
      </c>
      <c r="E48" s="28">
        <f>GETPIVOTDATA("TotFund_Technical",[1]tables!$A$139,"tuition","In-District","Flex",0)</f>
        <v>2240</v>
      </c>
      <c r="F48" s="8">
        <f>GETPIVOTDATA("TotFund_Upper",[1]tables!$A$150,"tuition","In-District","Flex",1)</f>
        <v>1920</v>
      </c>
      <c r="G48" s="29">
        <f>GETPIVOTDATA("TotFund_Upper",[1]tables!$A$150,"tuition","In-District","Flex",0)</f>
        <v>528</v>
      </c>
    </row>
    <row r="49" spans="1:7" x14ac:dyDescent="0.2">
      <c r="A49" s="26" t="s">
        <v>29</v>
      </c>
      <c r="B49" s="8">
        <f>GETPIVOTDATA("TotFund_Academic",[1]tables!$A$128,"tuition","Out-of-District","Flex",1)</f>
        <v>129952</v>
      </c>
      <c r="C49" s="30">
        <f>GETPIVOTDATA("TotFund_Academic",[1]tables!$A$128,"tuition","Out-of-District","Flex",0)</f>
        <v>16800</v>
      </c>
      <c r="D49" s="8">
        <f>GETPIVOTDATA("TotFund_Technical",[1]tables!$A$139,"tuition","Out-of-District","Flex",1)</f>
        <v>66496</v>
      </c>
      <c r="E49" s="30">
        <f>GETPIVOTDATA("TotFund_Technical",[1]tables!$A$139,"tuition","Out-of-District","Flex",0)</f>
        <v>1568</v>
      </c>
      <c r="F49" s="8">
        <f>GETPIVOTDATA("TotFund_Upper",[1]tables!$A$150,"tuition","Out-of-District","Flex",1)</f>
        <v>1744</v>
      </c>
      <c r="G49" s="29">
        <f>GETPIVOTDATA("TotFund_Upper",[1]tables!$A$150,"tuition","Out-of-District","Flex",0)</f>
        <v>240</v>
      </c>
    </row>
    <row r="50" spans="1:7" ht="12" customHeight="1" x14ac:dyDescent="0.2">
      <c r="A50" s="31" t="s">
        <v>19</v>
      </c>
      <c r="B50" s="32">
        <f>GETPIVOTDATA("TotFund_Academic",[1]tables!$A$128,"tuition","Other","Flex",1)</f>
        <v>15808</v>
      </c>
      <c r="C50" s="33">
        <f>GETPIVOTDATA("TotFund_Academic",[1]tables!$A$128,"tuition","Other","Flex",0)</f>
        <v>2656</v>
      </c>
      <c r="D50" s="32">
        <f>GETPIVOTDATA("TotFund_Technical",[1]tables!$A$139,"tuition","Other","Flex",1)</f>
        <v>11200</v>
      </c>
      <c r="E50" s="33">
        <f>GETPIVOTDATA("TotFund_Technical",[1]tables!$A$139,"tuition","Other","Flex",0)</f>
        <v>448</v>
      </c>
      <c r="F50" s="32">
        <f>GETPIVOTDATA("TotFund_Upper",[1]tables!$A$150,"tuition","Other","Flex",1)</f>
        <v>368</v>
      </c>
      <c r="G50" s="34">
        <f>GETPIVOTDATA("TotFund_Upper",[1]tables!$A$150,"tuition","Other")</f>
        <v>368</v>
      </c>
    </row>
    <row r="51" spans="1:7" ht="12" customHeight="1" x14ac:dyDescent="0.2">
      <c r="A51" s="35" t="s">
        <v>51</v>
      </c>
      <c r="B51" s="8">
        <f t="shared" ref="B51:G51" si="9">SUM(B48:B50)</f>
        <v>459488</v>
      </c>
      <c r="C51" s="36">
        <f t="shared" si="9"/>
        <v>63040</v>
      </c>
      <c r="D51" s="8">
        <f t="shared" si="9"/>
        <v>217120</v>
      </c>
      <c r="E51" s="36">
        <f t="shared" si="9"/>
        <v>4256</v>
      </c>
      <c r="F51" s="8">
        <f t="shared" si="9"/>
        <v>4032</v>
      </c>
      <c r="G51" s="37">
        <f t="shared" si="9"/>
        <v>1136</v>
      </c>
    </row>
    <row r="52" spans="1:7" x14ac:dyDescent="0.2">
      <c r="A52" s="26" t="s">
        <v>52</v>
      </c>
      <c r="B52" s="32">
        <f>GETPIVOTDATA("TotUnfund_Academic",[1]tables!$A$162,"Flex",1)</f>
        <v>8464</v>
      </c>
      <c r="C52" s="33">
        <f>GETPIVOTDATA("TotUnfund_Academic",[1]tables!$A$162,"Flex",0)</f>
        <v>1776</v>
      </c>
      <c r="D52" s="32">
        <f>GETPIVOTDATA("TotUnfund_Technical",[1]tables!$A$169,"Flex",1)</f>
        <v>576</v>
      </c>
      <c r="E52" s="33">
        <f>GETPIVOTDATA("TotUnfund_Technical",[1]tables!$A$169,"Flex",0)</f>
        <v>0</v>
      </c>
      <c r="F52" s="32">
        <f>GETPIVOTDATA("TotUnfund_Upper",[1]tables!$A$178,"Flex",1)</f>
        <v>0</v>
      </c>
      <c r="G52" s="34">
        <f>GETPIVOTDATA("TotUnfund_Upper",[1]tables!$A$178,"Flex",0)</f>
        <v>0</v>
      </c>
    </row>
    <row r="53" spans="1:7" ht="12" customHeight="1" thickBot="1" x14ac:dyDescent="0.25">
      <c r="A53" s="38" t="s">
        <v>53</v>
      </c>
      <c r="B53" s="39">
        <f t="shared" ref="B53:E53" si="10">B51+B52</f>
        <v>467952</v>
      </c>
      <c r="C53" s="40">
        <f t="shared" si="10"/>
        <v>64816</v>
      </c>
      <c r="D53" s="39">
        <f t="shared" si="10"/>
        <v>217696</v>
      </c>
      <c r="E53" s="40">
        <f t="shared" si="10"/>
        <v>4256</v>
      </c>
      <c r="F53" s="19">
        <f>F51+F52</f>
        <v>4032</v>
      </c>
      <c r="G53" s="41">
        <f>G51+G52</f>
        <v>1136</v>
      </c>
    </row>
    <row r="54" spans="1:7" ht="12.75" customHeight="1" thickBot="1" x14ac:dyDescent="0.25">
      <c r="A54" s="42" t="s">
        <v>59</v>
      </c>
      <c r="B54" s="19">
        <f>GETPIVOTDATA("TotSCH_Academic",[1]tables!$A$184,"Flex",1)</f>
        <v>24463</v>
      </c>
      <c r="C54" s="20">
        <f>GETPIVOTDATA("TotSCH_Academic",[1]tables!$A$184,"Flex",0)</f>
        <v>3712</v>
      </c>
      <c r="D54" s="19">
        <f>GETPIVOTDATA("TotSCH_Technical",[1]tables!$A$191,"Flex",1)</f>
        <v>7590</v>
      </c>
      <c r="E54" s="20">
        <f>GETPIVOTDATA("TotSCH_Technical",[1]tables!$A$191,"Flex",0)</f>
        <v>76</v>
      </c>
      <c r="F54" s="19">
        <f>GETPIVOTDATA("TotSCH_Upper",[1]tables!$A$198,"Flex",1)</f>
        <v>213</v>
      </c>
      <c r="G54" s="43">
        <f>GETPIVOTDATA("TotSCH_Upper",[1]tables!$A$198,"Flex",0)</f>
        <v>48</v>
      </c>
    </row>
    <row r="55" spans="1:7" ht="12" customHeight="1" x14ac:dyDescent="0.2">
      <c r="A55" s="44" t="s">
        <v>54</v>
      </c>
    </row>
    <row r="56" spans="1:7" ht="2.25" customHeight="1" x14ac:dyDescent="0.2">
      <c r="A56" s="44"/>
    </row>
    <row r="57" spans="1:7" ht="40.5" customHeight="1" x14ac:dyDescent="0.2">
      <c r="A57" s="46" t="s">
        <v>60</v>
      </c>
      <c r="B57" s="46"/>
      <c r="C57" s="46"/>
      <c r="D57" s="46"/>
      <c r="E57" s="46"/>
      <c r="F57" s="46"/>
      <c r="G57" s="46"/>
    </row>
    <row r="58" spans="1:7" x14ac:dyDescent="0.2">
      <c r="A58" s="45"/>
    </row>
    <row r="59" spans="1:7" x14ac:dyDescent="0.2">
      <c r="A59" s="45"/>
    </row>
    <row r="60" spans="1:7" x14ac:dyDescent="0.2">
      <c r="A60" s="1" t="s">
        <v>61</v>
      </c>
    </row>
    <row r="64" spans="1:7" x14ac:dyDescent="0.2">
      <c r="B64" s="13"/>
      <c r="C64" s="13"/>
    </row>
    <row r="65" spans="2:3" x14ac:dyDescent="0.2">
      <c r="B65" s="13"/>
      <c r="C65" s="13"/>
    </row>
    <row r="66" spans="2:3" x14ac:dyDescent="0.2">
      <c r="B66" s="13"/>
      <c r="C66" s="13"/>
    </row>
    <row r="67" spans="2:3" x14ac:dyDescent="0.2">
      <c r="B67" s="13"/>
      <c r="C67" s="13"/>
    </row>
    <row r="68" spans="2:3" x14ac:dyDescent="0.2">
      <c r="B68" s="13"/>
      <c r="C68" s="13"/>
    </row>
    <row r="69" spans="2:3" x14ac:dyDescent="0.2">
      <c r="B69" s="13"/>
      <c r="C69" s="13"/>
    </row>
    <row r="70" spans="2:3" x14ac:dyDescent="0.2">
      <c r="B70" s="13"/>
      <c r="C70" s="13"/>
    </row>
    <row r="71" spans="2:3" x14ac:dyDescent="0.2">
      <c r="B71" s="13"/>
      <c r="C71" s="13"/>
    </row>
  </sheetData>
  <sheetProtection algorithmName="SHA-512" hashValue="biaFH8fkruW34egh0/bDS6paq1LGW0j5WCkSpFBRS/YJj8BiU5Lg6EFWqQM4CLUaj8Ktr4pcztvLHr2OJD02ag==" saltValue="gOXd913q5HhDrb6xWSY9qw==" spinCount="100000" sheet="1" objects="1" scenarios="1"/>
  <mergeCells count="9">
    <mergeCell ref="A57:G57"/>
    <mergeCell ref="A1:G1"/>
    <mergeCell ref="A2:G2"/>
    <mergeCell ref="B3:C3"/>
    <mergeCell ref="D3:E3"/>
    <mergeCell ref="F3:G3"/>
    <mergeCell ref="B46:C46"/>
    <mergeCell ref="D46:E46"/>
    <mergeCell ref="F46:G46"/>
  </mergeCells>
  <pageMargins left="0.7" right="0.7" top="0.75" bottom="0.75" header="0.3" footer="0.3"/>
  <pageSetup scale="8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Gutierrez, Mariela</dc:creator>
  <cp:lastModifiedBy>Gutierrez, Mariela</cp:lastModifiedBy>
  <cp:lastPrinted>2024-10-25T14:12:52Z</cp:lastPrinted>
  <dcterms:created xsi:type="dcterms:W3CDTF">2024-10-25T14:05:12Z</dcterms:created>
  <dcterms:modified xsi:type="dcterms:W3CDTF">2024-10-25T14:16:56Z</dcterms:modified>
</cp:coreProperties>
</file>